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/>
  <mc:AlternateContent xmlns:mc="http://schemas.openxmlformats.org/markup-compatibility/2006">
    <mc:Choice Requires="x15">
      <x15ac:absPath xmlns:x15ac="http://schemas.microsoft.com/office/spreadsheetml/2010/11/ac" url="/Users/joshuasmith/Osborne Partners Ltd Dropbox/OP - Marketing/Delos MOOC/"/>
    </mc:Choice>
  </mc:AlternateContent>
  <xr:revisionPtr revIDLastSave="0" documentId="13_ncr:1_{27FEAA1E-DBA1-BA4E-AA81-E1575D074759}" xr6:coauthVersionLast="47" xr6:coauthVersionMax="47" xr10:uidLastSave="{00000000-0000-0000-0000-000000000000}"/>
  <bookViews>
    <workbookView xWindow="12640" yWindow="1720" windowWidth="32840" windowHeight="24700" xr2:uid="{6306197D-8C62-9845-8F93-A14DE38998CF}"/>
  </bookViews>
  <sheets>
    <sheet name="Cafe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E24" i="7"/>
  <c r="E23" i="7"/>
  <c r="E39" i="7" s="1"/>
  <c r="E21" i="7"/>
  <c r="E19" i="7"/>
  <c r="E17" i="7"/>
  <c r="E16" i="7"/>
  <c r="E13" i="7"/>
  <c r="E12" i="7"/>
  <c r="M15" i="7"/>
  <c r="G41" i="7"/>
  <c r="H41" i="7"/>
  <c r="I41" i="7"/>
  <c r="F41" i="7"/>
  <c r="E36" i="7"/>
  <c r="E40" i="7" l="1"/>
  <c r="F26" i="7"/>
  <c r="G26" i="7" s="1"/>
  <c r="H26" i="7" s="1"/>
  <c r="I26" i="7" s="1"/>
  <c r="F24" i="7"/>
  <c r="G24" i="7" s="1"/>
  <c r="H24" i="7" s="1"/>
  <c r="I24" i="7" s="1"/>
  <c r="F23" i="7"/>
  <c r="F39" i="7" s="1"/>
  <c r="F21" i="7"/>
  <c r="G21" i="7" s="1"/>
  <c r="H21" i="7" s="1"/>
  <c r="I21" i="7" s="1"/>
  <c r="F19" i="7"/>
  <c r="G19" i="7" s="1"/>
  <c r="H19" i="7" s="1"/>
  <c r="I19" i="7" s="1"/>
  <c r="F17" i="7"/>
  <c r="G17" i="7" s="1"/>
  <c r="H17" i="7" s="1"/>
  <c r="I17" i="7" s="1"/>
  <c r="F16" i="7"/>
  <c r="G16" i="7" s="1"/>
  <c r="H16" i="7" s="1"/>
  <c r="I16" i="7" s="1"/>
  <c r="F13" i="7"/>
  <c r="G13" i="7" s="1"/>
  <c r="H13" i="7" s="1"/>
  <c r="L15" i="7"/>
  <c r="K15" i="7"/>
  <c r="E46" i="7"/>
  <c r="F10" i="7"/>
  <c r="F46" i="7" l="1"/>
  <c r="F36" i="7"/>
  <c r="G23" i="7"/>
  <c r="G39" i="7" s="1"/>
  <c r="F12" i="7"/>
  <c r="F40" i="7" s="1"/>
  <c r="I13" i="7"/>
  <c r="E15" i="7"/>
  <c r="E38" i="7" s="1"/>
  <c r="G10" i="7"/>
  <c r="G36" i="7" s="1"/>
  <c r="E42" i="7" l="1"/>
  <c r="F15" i="7"/>
  <c r="F38" i="7" s="1"/>
  <c r="G12" i="7"/>
  <c r="G40" i="7" s="1"/>
  <c r="H23" i="7"/>
  <c r="H39" i="7" s="1"/>
  <c r="H10" i="7"/>
  <c r="H36" i="7" s="1"/>
  <c r="G46" i="7"/>
  <c r="I23" i="7" l="1"/>
  <c r="I39" i="7" s="1"/>
  <c r="H12" i="7"/>
  <c r="H40" i="7" s="1"/>
  <c r="G15" i="7"/>
  <c r="G38" i="7" s="1"/>
  <c r="F42" i="7"/>
  <c r="I10" i="7"/>
  <c r="H46" i="7"/>
  <c r="I46" i="7" l="1"/>
  <c r="I36" i="7"/>
  <c r="H15" i="7"/>
  <c r="H38" i="7" s="1"/>
  <c r="G42" i="7"/>
  <c r="I12" i="7"/>
  <c r="I40" i="7" s="1"/>
  <c r="I15" i="7" l="1"/>
  <c r="I38" i="7" s="1"/>
  <c r="H42" i="7"/>
  <c r="I42" i="7" l="1"/>
  <c r="E48" i="7" s="1"/>
  <c r="I44" i="7" l="1"/>
  <c r="E49" i="7" s="1"/>
  <c r="E50" i="7" s="1"/>
</calcChain>
</file>

<file path=xl/sharedStrings.xml><?xml version="1.0" encoding="utf-8"?>
<sst xmlns="http://schemas.openxmlformats.org/spreadsheetml/2006/main" count="33" uniqueCount="31">
  <si>
    <t>Business drivers</t>
  </si>
  <si>
    <t>Choose scenario</t>
  </si>
  <si>
    <t>Richmond brunch spot</t>
  </si>
  <si>
    <t>Year</t>
  </si>
  <si>
    <t>Acton greasy spoon</t>
  </si>
  <si>
    <t>Your café</t>
  </si>
  <si>
    <t>Floor space (sqm)</t>
  </si>
  <si>
    <t>Seat spacing (sqm / seat)</t>
  </si>
  <si>
    <t>Seats</t>
  </si>
  <si>
    <t>Customers per seat per day</t>
  </si>
  <si>
    <t>Spend per head (£, real)</t>
  </si>
  <si>
    <t>Utilisation</t>
  </si>
  <si>
    <t>Gross margin</t>
  </si>
  <si>
    <t>Staff numbers</t>
  </si>
  <si>
    <t>Average salary (£, real)</t>
  </si>
  <si>
    <t>Lease rate (£ per sqm per year, real)</t>
  </si>
  <si>
    <t>Valuation inputs</t>
  </si>
  <si>
    <t>Nominal discount rate</t>
  </si>
  <si>
    <t>Terminal growth rate</t>
  </si>
  <si>
    <t>Inflation</t>
  </si>
  <si>
    <t>DCF model</t>
  </si>
  <si>
    <t>Inflation factor</t>
  </si>
  <si>
    <t>Staff costs</t>
  </si>
  <si>
    <t>Rent</t>
  </si>
  <si>
    <t>Other costs</t>
  </si>
  <si>
    <t>Net profit</t>
  </si>
  <si>
    <t>Terminal value</t>
  </si>
  <si>
    <t>Discount factor</t>
  </si>
  <si>
    <t>Discounted net profits</t>
  </si>
  <si>
    <t>Discounted terminal value</t>
  </si>
  <si>
    <t>Enterprise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</si>
</sst>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);\(#,##0\);\-_)"/>
    <numFmt numFmtId="166" formatCode="_(* #,##0.0_);_(* \(#,##0.0\);_(* &quot;-&quot;??_);_(@_)"/>
    <numFmt numFmtId="167" formatCode="#,##0.00_);\(#,##0.00\);\-_)"/>
  </numFmts>
  <fonts count="10">
    <font>
      <sz val="10"/>
      <color theme="1"/>
      <name val="Avenir Light"/>
      <family val="2"/>
    </font>
    <font>
      <sz val="10"/>
      <color theme="1"/>
      <name val="Avenir Light"/>
      <family val="2"/>
    </font>
    <font>
      <sz val="28"/>
      <color rgb="FF00A3E1"/>
      <name val="Avenir Light"/>
      <family val="2"/>
    </font>
    <font>
      <sz val="11"/>
      <color theme="0"/>
      <name val="Avenir Light"/>
      <family val="2"/>
    </font>
    <font>
      <sz val="8"/>
      <name val="Avenir"/>
      <family val="2"/>
    </font>
    <font>
      <i/>
      <sz val="10"/>
      <color rgb="FF00203C"/>
      <name val="Avenir Light"/>
      <family val="2"/>
    </font>
    <font>
      <sz val="11"/>
      <color rgb="FFFFFFFF"/>
      <name val="Avenir Light"/>
      <family val="2"/>
    </font>
    <font>
      <sz val="10"/>
      <color theme="4"/>
      <name val="Avenir Light"/>
      <family val="2"/>
    </font>
    <font>
      <b/>
      <sz val="10"/>
      <color theme="1"/>
      <name val="Avenir Light"/>
      <family val="2"/>
    </font>
    <font>
      <i/>
      <sz val="10"/>
      <color theme="1"/>
      <name val="Avenir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00A3E1"/>
      </patternFill>
    </fill>
    <fill>
      <patternFill patternType="solid">
        <fgColor rgb="FF00A3E1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165" fontId="0" fillId="3" borderId="0" applyFill="0" applyBorder="0"/>
    <xf numFmtId="0" fontId="2" fillId="2" borderId="0"/>
    <xf numFmtId="0" fontId="5" fillId="0" borderId="0" applyFill="0" applyBorder="0"/>
    <xf numFmtId="0" fontId="3" fillId="4" borderId="0"/>
    <xf numFmtId="0" fontId="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165" fontId="0" fillId="3" borderId="0" xfId="0"/>
    <xf numFmtId="165" fontId="0" fillId="0" borderId="0" xfId="0" applyFill="1"/>
    <xf numFmtId="0" fontId="3" fillId="4" borderId="0" xfId="3"/>
    <xf numFmtId="165" fontId="0" fillId="0" borderId="0" xfId="0" applyFill="1" applyBorder="1"/>
    <xf numFmtId="0" fontId="6" fillId="5" borderId="0" xfId="0" applyNumberFormat="1" applyFont="1" applyFill="1"/>
    <xf numFmtId="165" fontId="0" fillId="0" borderId="2" xfId="0" applyFill="1" applyBorder="1"/>
    <xf numFmtId="165" fontId="0" fillId="2" borderId="0" xfId="0" applyFill="1" applyBorder="1"/>
    <xf numFmtId="165" fontId="8" fillId="0" borderId="2" xfId="0" applyFont="1" applyFill="1" applyBorder="1"/>
    <xf numFmtId="165" fontId="0" fillId="0" borderId="0" xfId="0" applyFill="1" applyAlignment="1">
      <alignment horizontal="center"/>
    </xf>
    <xf numFmtId="165" fontId="0" fillId="0" borderId="0" xfId="0" applyFill="1" applyAlignment="1">
      <alignment vertical="top"/>
    </xf>
    <xf numFmtId="9" fontId="0" fillId="2" borderId="0" xfId="5" applyFont="1" applyFill="1" applyBorder="1"/>
    <xf numFmtId="165" fontId="0" fillId="0" borderId="1" xfId="0" applyFill="1" applyBorder="1" applyAlignment="1">
      <alignment vertical="top"/>
    </xf>
    <xf numFmtId="165" fontId="0" fillId="0" borderId="1" xfId="0" applyFill="1" applyBorder="1" applyAlignment="1">
      <alignment horizontal="center" vertical="top" wrapText="1"/>
    </xf>
    <xf numFmtId="165" fontId="9" fillId="0" borderId="0" xfId="0" applyFont="1" applyFill="1"/>
    <xf numFmtId="167" fontId="9" fillId="0" borderId="0" xfId="0" applyNumberFormat="1" applyFont="1" applyFill="1"/>
    <xf numFmtId="165" fontId="9" fillId="0" borderId="0" xfId="0" applyFont="1" applyFill="1" applyBorder="1"/>
    <xf numFmtId="165" fontId="0" fillId="6" borderId="3" xfId="0" applyFill="1" applyBorder="1"/>
    <xf numFmtId="166" fontId="0" fillId="6" borderId="3" xfId="6" applyNumberFormat="1" applyFont="1" applyFill="1" applyBorder="1"/>
    <xf numFmtId="9" fontId="0" fillId="6" borderId="3" xfId="5" applyFont="1" applyFill="1" applyBorder="1"/>
    <xf numFmtId="165" fontId="0" fillId="6" borderId="4" xfId="0" applyFill="1" applyBorder="1"/>
    <xf numFmtId="165" fontId="0" fillId="7" borderId="3" xfId="0" applyFill="1" applyBorder="1"/>
    <xf numFmtId="166" fontId="0" fillId="7" borderId="3" xfId="6" applyNumberFormat="1" applyFont="1" applyFill="1" applyBorder="1"/>
    <xf numFmtId="9" fontId="0" fillId="7" borderId="3" xfId="5" applyFont="1" applyFill="1" applyBorder="1"/>
    <xf numFmtId="165" fontId="0" fillId="8" borderId="3" xfId="0" applyFill="1" applyBorder="1"/>
    <xf numFmtId="9" fontId="0" fillId="8" borderId="3" xfId="5" applyFont="1" applyFill="1" applyBorder="1"/>
    <xf numFmtId="165" fontId="8" fillId="0" borderId="5" xfId="0" applyFont="1" applyFill="1" applyBorder="1"/>
    <xf numFmtId="165" fontId="0" fillId="0" borderId="6" xfId="0" applyFill="1" applyBorder="1"/>
    <xf numFmtId="165" fontId="8" fillId="6" borderId="3" xfId="0" applyFont="1" applyFill="1" applyBorder="1" applyAlignment="1">
      <alignment horizontal="left"/>
    </xf>
  </cellXfs>
  <cellStyles count="7">
    <cellStyle name="Annexe Title" xfId="1" xr:uid="{4F5414DA-BC9A-DC40-8816-22F86EA88B4B}"/>
    <cellStyle name="Comma" xfId="6" builtinId="3"/>
    <cellStyle name="Header" xfId="3" xr:uid="{E32E8435-0F2D-BA43-BC6B-2BDC92D3E027}"/>
    <cellStyle name="Normal" xfId="0" builtinId="0" customBuiltin="1"/>
    <cellStyle name="Per cent" xfId="5" builtinId="5"/>
    <cellStyle name="Source" xfId="2" xr:uid="{153D34C9-78F9-7A4C-BB2F-FF42AFCE07CE}"/>
    <cellStyle name="Titles" xfId="4" xr:uid="{1B87DA4C-147D-F149-AB0D-6FB7F6CA7864}"/>
  </cellStyles>
  <dxfs count="0"/>
  <tableStyles count="0" defaultTableStyle="TableStyleMedium2" defaultPivotStyle="PivotStyleLight16"/>
  <colors>
    <mruColors>
      <color rgb="FF00203C"/>
      <color rgb="FF00A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4</xdr:col>
      <xdr:colOff>552450</xdr:colOff>
      <xdr:row>4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A2C0336-1F05-9641-8D4F-22210D80D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9"/>
        <a:stretch/>
      </xdr:blipFill>
      <xdr:spPr>
        <a:xfrm>
          <a:off x="698500" y="0"/>
          <a:ext cx="33083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sborne Partners - Excel">
      <a:dk1>
        <a:srgbClr val="000000"/>
      </a:dk1>
      <a:lt1>
        <a:srgbClr val="FFFFFF"/>
      </a:lt1>
      <a:dk2>
        <a:srgbClr val="C1C1C1"/>
      </a:dk2>
      <a:lt2>
        <a:srgbClr val="ED691A"/>
      </a:lt2>
      <a:accent1>
        <a:srgbClr val="00A3E1"/>
      </a:accent1>
      <a:accent2>
        <a:srgbClr val="FFB600"/>
      </a:accent2>
      <a:accent3>
        <a:srgbClr val="203663"/>
      </a:accent3>
      <a:accent4>
        <a:srgbClr val="707070"/>
      </a:accent4>
      <a:accent5>
        <a:srgbClr val="E13A49"/>
      </a:accent5>
      <a:accent6>
        <a:srgbClr val="37BA7C"/>
      </a:accent6>
      <a:hlink>
        <a:srgbClr val="0096FF"/>
      </a:hlink>
      <a:folHlink>
        <a:srgbClr val="941651"/>
      </a:folHlink>
    </a:clrScheme>
    <a:fontScheme name="Osborne Partners">
      <a:majorFont>
        <a:latin typeface="Avenir Light"/>
        <a:ea typeface=""/>
        <a:cs typeface=""/>
      </a:majorFont>
      <a:minorFont>
        <a:latin typeface="Avenir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6C47-4176-4346-B954-1988FC51FF10}">
  <dimension ref="B6:P50"/>
  <sheetViews>
    <sheetView showGridLines="0" tabSelected="1" zoomScaleNormal="100" workbookViewId="0">
      <selection activeCell="E29" sqref="E29"/>
    </sheetView>
  </sheetViews>
  <sheetFormatPr defaultColWidth="11" defaultRowHeight="15"/>
  <cols>
    <col min="1" max="1" width="11" style="1"/>
    <col min="2" max="2" width="1.5703125" style="1" customWidth="1"/>
    <col min="3" max="3" width="36.140625" style="1" customWidth="1"/>
    <col min="4" max="4" width="5.5703125" style="1" customWidth="1"/>
    <col min="5" max="5" width="15.5703125" style="1" customWidth="1"/>
    <col min="6" max="10" width="12" style="1" customWidth="1"/>
    <col min="11" max="12" width="13.85546875" style="1" customWidth="1"/>
    <col min="13" max="16" width="12" style="1" customWidth="1"/>
    <col min="17" max="16384" width="11" style="1"/>
  </cols>
  <sheetData>
    <row r="6" spans="2:16" ht="15.95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</row>
    <row r="8" spans="2:16">
      <c r="C8" s="25" t="s">
        <v>1</v>
      </c>
      <c r="D8" s="26"/>
      <c r="E8" s="27" t="s">
        <v>2</v>
      </c>
      <c r="F8" s="27"/>
    </row>
    <row r="10" spans="2:16" s="9" customFormat="1" ht="32.1">
      <c r="C10" s="11" t="s">
        <v>3</v>
      </c>
      <c r="D10" s="11"/>
      <c r="E10" s="11">
        <v>1</v>
      </c>
      <c r="F10" s="11">
        <f>E10+1</f>
        <v>2</v>
      </c>
      <c r="G10" s="11">
        <f t="shared" ref="G10:I10" si="0">F10+1</f>
        <v>3</v>
      </c>
      <c r="H10" s="11">
        <f t="shared" si="0"/>
        <v>4</v>
      </c>
      <c r="I10" s="11">
        <f t="shared" si="0"/>
        <v>5</v>
      </c>
      <c r="K10" s="12" t="s">
        <v>4</v>
      </c>
      <c r="L10" s="12" t="s">
        <v>2</v>
      </c>
      <c r="M10" s="12" t="s">
        <v>5</v>
      </c>
    </row>
    <row r="11" spans="2:16">
      <c r="K11" s="8"/>
      <c r="L11" s="8"/>
    </row>
    <row r="12" spans="2:16">
      <c r="C12" s="1" t="s">
        <v>6</v>
      </c>
      <c r="E12" s="23">
        <f>INDEX($K12:$M12,MATCH($E$8,$K$10:$M$10,0))</f>
        <v>100</v>
      </c>
      <c r="F12" s="6">
        <f>E12</f>
        <v>100</v>
      </c>
      <c r="G12" s="6">
        <f t="shared" ref="G12:I12" si="1">F12</f>
        <v>100</v>
      </c>
      <c r="H12" s="6">
        <f t="shared" si="1"/>
        <v>100</v>
      </c>
      <c r="I12" s="6">
        <f t="shared" si="1"/>
        <v>100</v>
      </c>
      <c r="K12" s="20">
        <v>50</v>
      </c>
      <c r="L12" s="20">
        <v>100</v>
      </c>
      <c r="M12" s="16"/>
    </row>
    <row r="13" spans="2:16">
      <c r="C13" s="1" t="s">
        <v>7</v>
      </c>
      <c r="E13" s="23">
        <f>INDEX($K13:$M13,MATCH($E$8,$K$10:$M$10,0))</f>
        <v>2</v>
      </c>
      <c r="F13" s="6">
        <f>E13</f>
        <v>2</v>
      </c>
      <c r="G13" s="6">
        <f t="shared" ref="G13:I13" si="2">F13</f>
        <v>2</v>
      </c>
      <c r="H13" s="6">
        <f t="shared" si="2"/>
        <v>2</v>
      </c>
      <c r="I13" s="6">
        <f t="shared" si="2"/>
        <v>2</v>
      </c>
      <c r="K13" s="21">
        <v>1.5</v>
      </c>
      <c r="L13" s="21">
        <v>2</v>
      </c>
      <c r="M13" s="17"/>
    </row>
    <row r="14" spans="2:16">
      <c r="E14" s="6"/>
      <c r="F14" s="6"/>
      <c r="G14" s="6"/>
      <c r="H14" s="6"/>
      <c r="I14" s="6"/>
    </row>
    <row r="15" spans="2:16">
      <c r="C15" s="1" t="s">
        <v>8</v>
      </c>
      <c r="E15" s="23">
        <f>E12/E13</f>
        <v>50</v>
      </c>
      <c r="F15" s="6">
        <f>E15</f>
        <v>50</v>
      </c>
      <c r="G15" s="6">
        <f t="shared" ref="G15:I15" si="3">F15</f>
        <v>50</v>
      </c>
      <c r="H15" s="6">
        <f t="shared" si="3"/>
        <v>50</v>
      </c>
      <c r="I15" s="6">
        <f t="shared" si="3"/>
        <v>50</v>
      </c>
      <c r="K15" s="6">
        <f t="shared" ref="K15:L15" si="4">K12/K13</f>
        <v>33.333333333333336</v>
      </c>
      <c r="L15" s="6">
        <f t="shared" si="4"/>
        <v>50</v>
      </c>
      <c r="M15" s="6" t="str">
        <f>IFERROR(M12/M13,"")</f>
        <v/>
      </c>
    </row>
    <row r="16" spans="2:16">
      <c r="C16" s="1" t="s">
        <v>9</v>
      </c>
      <c r="E16" s="23">
        <f>INDEX($K16:$M16,MATCH($E$8,$K$10:$M$10,0))</f>
        <v>2</v>
      </c>
      <c r="F16" s="6">
        <f>E16</f>
        <v>2</v>
      </c>
      <c r="G16" s="6">
        <f t="shared" ref="G16:I16" si="5">F16</f>
        <v>2</v>
      </c>
      <c r="H16" s="6">
        <f t="shared" si="5"/>
        <v>2</v>
      </c>
      <c r="I16" s="6">
        <f t="shared" si="5"/>
        <v>2</v>
      </c>
      <c r="K16" s="20">
        <v>4</v>
      </c>
      <c r="L16" s="20">
        <v>2</v>
      </c>
      <c r="M16" s="16"/>
    </row>
    <row r="17" spans="2:16">
      <c r="C17" s="1" t="s">
        <v>10</v>
      </c>
      <c r="D17" s="18">
        <v>0</v>
      </c>
      <c r="E17" s="23">
        <f>INDEX($K17:$M17,MATCH($E$8,$K$10:$M$10,0))</f>
        <v>50</v>
      </c>
      <c r="F17" s="6">
        <f>E17*(1+$D17)</f>
        <v>50</v>
      </c>
      <c r="G17" s="6">
        <f t="shared" ref="G17:I17" si="6">F17*(1+$D17)</f>
        <v>50</v>
      </c>
      <c r="H17" s="6">
        <f t="shared" si="6"/>
        <v>50</v>
      </c>
      <c r="I17" s="6">
        <f t="shared" si="6"/>
        <v>50</v>
      </c>
      <c r="K17" s="20">
        <v>10</v>
      </c>
      <c r="L17" s="20">
        <v>50</v>
      </c>
      <c r="M17" s="16"/>
    </row>
    <row r="18" spans="2:16">
      <c r="E18" s="6"/>
      <c r="F18" s="6"/>
      <c r="G18" s="6"/>
      <c r="H18" s="6"/>
      <c r="I18" s="6"/>
    </row>
    <row r="19" spans="2:16">
      <c r="C19" s="3" t="s">
        <v>11</v>
      </c>
      <c r="D19" s="3"/>
      <c r="E19" s="24">
        <f>INDEX($K19:$M19,MATCH($E$8,$K$10:$M$10,0))</f>
        <v>0.4</v>
      </c>
      <c r="F19" s="10">
        <f>E19</f>
        <v>0.4</v>
      </c>
      <c r="G19" s="10">
        <f t="shared" ref="G19:I19" si="7">F19</f>
        <v>0.4</v>
      </c>
      <c r="H19" s="10">
        <f t="shared" si="7"/>
        <v>0.4</v>
      </c>
      <c r="I19" s="10">
        <f t="shared" si="7"/>
        <v>0.4</v>
      </c>
      <c r="K19" s="22">
        <v>0.6</v>
      </c>
      <c r="L19" s="22">
        <v>0.4</v>
      </c>
      <c r="M19" s="18"/>
    </row>
    <row r="20" spans="2:16">
      <c r="E20" s="6"/>
      <c r="F20" s="6"/>
      <c r="G20" s="6"/>
      <c r="H20" s="6"/>
      <c r="I20" s="6"/>
    </row>
    <row r="21" spans="2:16">
      <c r="C21" s="1" t="s">
        <v>12</v>
      </c>
      <c r="E21" s="24">
        <f>INDEX($K21:$M21,MATCH($E$8,$K$10:$M$10,0))</f>
        <v>0.75</v>
      </c>
      <c r="F21" s="10">
        <f>E21</f>
        <v>0.75</v>
      </c>
      <c r="G21" s="10">
        <f t="shared" ref="G21:I21" si="8">F21</f>
        <v>0.75</v>
      </c>
      <c r="H21" s="10">
        <f t="shared" si="8"/>
        <v>0.75</v>
      </c>
      <c r="I21" s="10">
        <f t="shared" si="8"/>
        <v>0.75</v>
      </c>
      <c r="K21" s="22">
        <v>0.8</v>
      </c>
      <c r="L21" s="22">
        <v>0.75</v>
      </c>
      <c r="M21" s="18"/>
    </row>
    <row r="22" spans="2:16">
      <c r="E22" s="6"/>
      <c r="F22" s="6"/>
      <c r="G22" s="6"/>
      <c r="H22" s="6"/>
      <c r="I22" s="6"/>
    </row>
    <row r="23" spans="2:16">
      <c r="C23" s="3" t="s">
        <v>13</v>
      </c>
      <c r="D23" s="3"/>
      <c r="E23" s="23">
        <f>INDEX($K23:$M23,MATCH($E$8,$K$10:$M$10,0))</f>
        <v>8</v>
      </c>
      <c r="F23" s="6">
        <f>E23</f>
        <v>8</v>
      </c>
      <c r="G23" s="6">
        <f t="shared" ref="G23:I23" si="9">F23</f>
        <v>8</v>
      </c>
      <c r="H23" s="6">
        <f t="shared" si="9"/>
        <v>8</v>
      </c>
      <c r="I23" s="6">
        <f t="shared" si="9"/>
        <v>8</v>
      </c>
      <c r="K23" s="20">
        <v>4</v>
      </c>
      <c r="L23" s="20">
        <v>8</v>
      </c>
      <c r="M23" s="16"/>
    </row>
    <row r="24" spans="2:16">
      <c r="C24" s="3" t="s">
        <v>14</v>
      </c>
      <c r="D24" s="18">
        <v>0</v>
      </c>
      <c r="E24" s="23">
        <f>INDEX($K24:$M24,MATCH($E$8,$K$10:$M$10,0))</f>
        <v>40000</v>
      </c>
      <c r="F24" s="6">
        <f>E24*(1+$D24)</f>
        <v>40000</v>
      </c>
      <c r="G24" s="6">
        <f t="shared" ref="G24:I24" si="10">F24*(1+$D24)</f>
        <v>40000</v>
      </c>
      <c r="H24" s="6">
        <f t="shared" si="10"/>
        <v>40000</v>
      </c>
      <c r="I24" s="6">
        <f t="shared" si="10"/>
        <v>40000</v>
      </c>
      <c r="K24" s="20">
        <v>25000</v>
      </c>
      <c r="L24" s="20">
        <v>40000</v>
      </c>
      <c r="M24" s="16"/>
    </row>
    <row r="25" spans="2:16">
      <c r="E25" s="6"/>
      <c r="F25" s="6"/>
      <c r="G25" s="6"/>
      <c r="H25" s="6"/>
      <c r="I25" s="6"/>
    </row>
    <row r="26" spans="2:16">
      <c r="C26" s="3" t="s">
        <v>15</v>
      </c>
      <c r="D26" s="18">
        <v>0</v>
      </c>
      <c r="E26" s="23">
        <f>INDEX($K26:$M26,MATCH($E$8,$K$10:$M$10,0))</f>
        <v>1000</v>
      </c>
      <c r="F26" s="6">
        <f>E26*(1+$D26)</f>
        <v>1000</v>
      </c>
      <c r="G26" s="6">
        <f t="shared" ref="G26:I26" si="11">F26*(1+$D26)</f>
        <v>1000</v>
      </c>
      <c r="H26" s="6">
        <f t="shared" si="11"/>
        <v>1000</v>
      </c>
      <c r="I26" s="6">
        <f t="shared" si="11"/>
        <v>1000</v>
      </c>
      <c r="K26" s="20">
        <v>250</v>
      </c>
      <c r="L26" s="20">
        <v>1000</v>
      </c>
      <c r="M26" s="16"/>
    </row>
    <row r="28" spans="2:16" ht="15.95">
      <c r="B28" s="2" t="s">
        <v>16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</row>
    <row r="30" spans="2:16">
      <c r="C30" s="1" t="s">
        <v>17</v>
      </c>
      <c r="E30" s="18">
        <v>0.1</v>
      </c>
    </row>
    <row r="31" spans="2:16">
      <c r="C31" s="1" t="s">
        <v>18</v>
      </c>
      <c r="E31" s="18">
        <v>0.02</v>
      </c>
    </row>
    <row r="32" spans="2:16">
      <c r="C32" s="1" t="s">
        <v>19</v>
      </c>
      <c r="E32" s="18">
        <v>0.02</v>
      </c>
    </row>
    <row r="34" spans="2:16" ht="15.95">
      <c r="B34" s="2" t="s">
        <v>20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/>
    </row>
    <row r="36" spans="2:16">
      <c r="C36" s="13" t="s">
        <v>21</v>
      </c>
      <c r="D36" s="13"/>
      <c r="E36" s="14">
        <f>(1+$E$32)^(E$10-1)</f>
        <v>1</v>
      </c>
      <c r="F36" s="14">
        <f t="shared" ref="F36:I36" si="12">(1+$E$32)^(F$10-1)</f>
        <v>1.02</v>
      </c>
      <c r="G36" s="14">
        <f t="shared" si="12"/>
        <v>1.0404</v>
      </c>
      <c r="H36" s="14">
        <f t="shared" si="12"/>
        <v>1.0612079999999999</v>
      </c>
      <c r="I36" s="14">
        <f t="shared" si="12"/>
        <v>1.08243216</v>
      </c>
    </row>
    <row r="38" spans="2:16">
      <c r="C38" s="1" t="s">
        <v>12</v>
      </c>
      <c r="E38" s="1">
        <f>E15*E16*E17*E21*E19*365*E$36</f>
        <v>547500</v>
      </c>
      <c r="F38" s="1">
        <f t="shared" ref="F38:I38" si="13">F15*F16*F17*F21*F19*365*F$36</f>
        <v>558450</v>
      </c>
      <c r="G38" s="1">
        <f t="shared" si="13"/>
        <v>569619</v>
      </c>
      <c r="H38" s="1">
        <f t="shared" si="13"/>
        <v>581011.38</v>
      </c>
      <c r="I38" s="1">
        <f t="shared" si="13"/>
        <v>592631.60759999999</v>
      </c>
    </row>
    <row r="39" spans="2:16">
      <c r="C39" s="1" t="s">
        <v>22</v>
      </c>
      <c r="E39" s="1">
        <f>-E23*E24*E$36</f>
        <v>-320000</v>
      </c>
      <c r="F39" s="1">
        <f t="shared" ref="F39:I39" si="14">-F23*F24*F$36</f>
        <v>-326400</v>
      </c>
      <c r="G39" s="1">
        <f t="shared" si="14"/>
        <v>-332928</v>
      </c>
      <c r="H39" s="1">
        <f t="shared" si="14"/>
        <v>-339586.56</v>
      </c>
      <c r="I39" s="1">
        <f t="shared" si="14"/>
        <v>-346378.29119999998</v>
      </c>
    </row>
    <row r="40" spans="2:16">
      <c r="C40" s="1" t="s">
        <v>23</v>
      </c>
      <c r="E40" s="1">
        <f>-E12*E26*E$36</f>
        <v>-100000</v>
      </c>
      <c r="F40" s="1">
        <f t="shared" ref="F40:I40" si="15">-F12*F26*F$36</f>
        <v>-102000</v>
      </c>
      <c r="G40" s="1">
        <f t="shared" si="15"/>
        <v>-104040</v>
      </c>
      <c r="H40" s="1">
        <f t="shared" si="15"/>
        <v>-106120.79999999999</v>
      </c>
      <c r="I40" s="1">
        <f t="shared" si="15"/>
        <v>-108243.216</v>
      </c>
    </row>
    <row r="41" spans="2:16">
      <c r="C41" s="1" t="s">
        <v>24</v>
      </c>
      <c r="D41" s="18">
        <v>0</v>
      </c>
      <c r="E41" s="19">
        <v>-100000</v>
      </c>
      <c r="F41" s="6">
        <f>E41*(1+$D41)*F$36</f>
        <v>-102000</v>
      </c>
      <c r="G41" s="6">
        <f t="shared" ref="G41:I41" si="16">F41*(1+$D41)*G$36</f>
        <v>-106120.8</v>
      </c>
      <c r="H41" s="6">
        <f t="shared" si="16"/>
        <v>-112616.24192639999</v>
      </c>
      <c r="I41" s="6">
        <f t="shared" si="16"/>
        <v>-121899.4419994757</v>
      </c>
    </row>
    <row r="42" spans="2:16">
      <c r="C42" s="5" t="s">
        <v>25</v>
      </c>
      <c r="D42" s="5"/>
      <c r="E42" s="5">
        <f>SUM(E38:E41)</f>
        <v>27500</v>
      </c>
      <c r="F42" s="5">
        <f t="shared" ref="F42:I42" si="17">SUM(F38:F41)</f>
        <v>28050</v>
      </c>
      <c r="G42" s="5">
        <f t="shared" si="17"/>
        <v>26530.199999999997</v>
      </c>
      <c r="H42" s="5">
        <f t="shared" si="17"/>
        <v>22687.778073600028</v>
      </c>
      <c r="I42" s="5">
        <f t="shared" si="17"/>
        <v>16110.658400524291</v>
      </c>
    </row>
    <row r="43" spans="2:16">
      <c r="C43" s="3"/>
      <c r="D43" s="3"/>
      <c r="E43" s="3"/>
      <c r="F43" s="3"/>
      <c r="G43" s="3"/>
      <c r="H43" s="3"/>
      <c r="I43" s="3"/>
    </row>
    <row r="44" spans="2:16">
      <c r="C44" s="3" t="s">
        <v>26</v>
      </c>
      <c r="D44" s="3"/>
      <c r="I44" s="23">
        <f>I42*(1+$E$31)/($E$30-$E$31)</f>
        <v>205410.89460668471</v>
      </c>
    </row>
    <row r="46" spans="2:16">
      <c r="C46" s="15" t="s">
        <v>27</v>
      </c>
      <c r="D46" s="15"/>
      <c r="E46" s="14">
        <f>1/(1+$E$30)^E$10</f>
        <v>0.90909090909090906</v>
      </c>
      <c r="F46" s="14">
        <f>1/(1+$E$30)^F$10</f>
        <v>0.82644628099173545</v>
      </c>
      <c r="G46" s="14">
        <f>1/(1+$E$30)^G$10</f>
        <v>0.75131480090157754</v>
      </c>
      <c r="H46" s="14">
        <f>1/(1+$E$30)^H$10</f>
        <v>0.68301345536507052</v>
      </c>
      <c r="I46" s="14">
        <f>1/(1+$E$30)^I$10</f>
        <v>0.62092132305915493</v>
      </c>
    </row>
    <row r="48" spans="2:16">
      <c r="C48" s="3" t="s">
        <v>28</v>
      </c>
      <c r="D48" s="3"/>
      <c r="E48" s="1">
        <f>SUMPRODUCT(E42:I42,E46:I46)</f>
        <v>93613.859138710279</v>
      </c>
    </row>
    <row r="49" spans="3:5">
      <c r="C49" s="3" t="s">
        <v>29</v>
      </c>
      <c r="D49" s="3"/>
      <c r="E49" s="1">
        <f>I44*I46</f>
        <v>127544.0044499473</v>
      </c>
    </row>
    <row r="50" spans="3:5">
      <c r="C50" s="7" t="s">
        <v>30</v>
      </c>
      <c r="D50" s="7"/>
      <c r="E50" s="7">
        <f>SUM(E48:E49)</f>
        <v>221157.86358865758</v>
      </c>
    </row>
  </sheetData>
  <mergeCells count="1">
    <mergeCell ref="E8:F8"/>
  </mergeCells>
  <phoneticPr fontId="4" type="noConversion"/>
  <dataValidations count="1">
    <dataValidation type="list" allowBlank="1" showInputMessage="1" showErrorMessage="1" sqref="E8" xr:uid="{887E181A-EDAD-8340-A127-9F04C878D404}">
      <formula1>$K$10:$M$10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charlielarminie</dc:creator>
  <cp:keywords/>
  <dc:description/>
  <cp:lastModifiedBy>Guest User</cp:lastModifiedBy>
  <cp:revision/>
  <dcterms:created xsi:type="dcterms:W3CDTF">2020-01-08T10:02:50Z</dcterms:created>
  <dcterms:modified xsi:type="dcterms:W3CDTF">2022-12-09T18:00:59Z</dcterms:modified>
  <cp:category/>
  <cp:contentStatus/>
</cp:coreProperties>
</file>